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chile-my.sharepoint.com/personal/simon_diaz_uchile_cl/Documents/"/>
    </mc:Choice>
  </mc:AlternateContent>
  <xr:revisionPtr revIDLastSave="115" documentId="8_{3C276C97-AC7F-4815-B48E-48CE140BD9FF}" xr6:coauthVersionLast="47" xr6:coauthVersionMax="47" xr10:uidLastSave="{312B82D2-AF67-4EFE-BB88-3A4C19725A8B}"/>
  <bookViews>
    <workbookView xWindow="-120" yWindow="-120" windowWidth="29040" windowHeight="15720" xr2:uid="{66DF0AC2-F3CB-42A8-9B8C-D2C5B2E570BF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10" i="1" l="1"/>
  <c r="W5" i="1"/>
  <c r="L15" i="1" l="1"/>
  <c r="C22" i="1" l="1"/>
  <c r="AB17" i="1"/>
  <c r="AB16" i="1"/>
  <c r="AB15" i="1"/>
  <c r="AB14" i="1"/>
  <c r="AB13" i="1"/>
  <c r="AB12" i="1"/>
  <c r="AB11" i="1"/>
  <c r="AB7" i="1"/>
  <c r="AB6" i="1"/>
  <c r="AB4" i="1"/>
  <c r="W6" i="1"/>
  <c r="W7" i="1"/>
  <c r="W8" i="1"/>
  <c r="W9" i="1"/>
  <c r="W10" i="1"/>
  <c r="W11" i="1"/>
  <c r="W12" i="1"/>
  <c r="W13" i="1"/>
  <c r="W14" i="1"/>
  <c r="C28" i="1"/>
  <c r="C27" i="1"/>
  <c r="C26" i="1"/>
  <c r="C25" i="1"/>
  <c r="C24" i="1"/>
  <c r="C23" i="1"/>
  <c r="C16" i="1"/>
  <c r="D10" i="1"/>
  <c r="X10" i="1" l="1"/>
  <c r="X8" i="1"/>
  <c r="X12" i="1"/>
  <c r="X5" i="1"/>
  <c r="X13" i="1"/>
  <c r="X11" i="1"/>
  <c r="X6" i="1"/>
  <c r="X14" i="1"/>
  <c r="X9" i="1"/>
  <c r="X7" i="1"/>
  <c r="C29" i="1"/>
  <c r="L26" i="1" s="1"/>
  <c r="C17" i="1"/>
  <c r="H15" i="1" s="1"/>
  <c r="Q15" i="1" l="1"/>
  <c r="Q26" i="1" s="1"/>
  <c r="Q29" i="1" s="1"/>
  <c r="H19" i="1"/>
  <c r="H20" i="1"/>
  <c r="H18" i="1"/>
  <c r="H16" i="1"/>
  <c r="H17" i="1"/>
  <c r="H14" i="1"/>
  <c r="H21" i="1" l="1"/>
</calcChain>
</file>

<file path=xl/sharedStrings.xml><?xml version="1.0" encoding="utf-8"?>
<sst xmlns="http://schemas.openxmlformats.org/spreadsheetml/2006/main" count="140" uniqueCount="126">
  <si>
    <t>SO4-2</t>
  </si>
  <si>
    <t>Mg+2</t>
  </si>
  <si>
    <t>Ca+2</t>
  </si>
  <si>
    <t>Cl-</t>
  </si>
  <si>
    <t>Li+</t>
  </si>
  <si>
    <t>K+</t>
  </si>
  <si>
    <t>Na+</t>
  </si>
  <si>
    <t>Agua</t>
  </si>
  <si>
    <t>F1</t>
  </si>
  <si>
    <t>ton/año salmuera</t>
  </si>
  <si>
    <t>Factor F3/F1</t>
  </si>
  <si>
    <t>F3</t>
  </si>
  <si>
    <t>F2</t>
  </si>
  <si>
    <t>Rechazo divalentes</t>
  </si>
  <si>
    <t>wt%35</t>
  </si>
  <si>
    <t>wt%36</t>
  </si>
  <si>
    <t>wt%37</t>
  </si>
  <si>
    <t>Nanofiltración</t>
  </si>
  <si>
    <t>Rechazo monovalentes</t>
  </si>
  <si>
    <t>wt%31</t>
  </si>
  <si>
    <t>wt%32</t>
  </si>
  <si>
    <t>wt%33</t>
  </si>
  <si>
    <t>wt%34</t>
  </si>
  <si>
    <t>Balance Total</t>
  </si>
  <si>
    <t>wt%1,j Maricunga</t>
  </si>
  <si>
    <t>wt%11</t>
  </si>
  <si>
    <t>wt%12</t>
  </si>
  <si>
    <t>wt%13</t>
  </si>
  <si>
    <t>wt%14</t>
  </si>
  <si>
    <t>wt%15</t>
  </si>
  <si>
    <t>wt%16</t>
  </si>
  <si>
    <t>wt%17</t>
  </si>
  <si>
    <t>wt%18</t>
  </si>
  <si>
    <t>Variable</t>
  </si>
  <si>
    <t>j</t>
  </si>
  <si>
    <t>Ion</t>
  </si>
  <si>
    <t>wt%21</t>
  </si>
  <si>
    <t>wt%22</t>
  </si>
  <si>
    <t>wt%23</t>
  </si>
  <si>
    <t>wt%24</t>
  </si>
  <si>
    <t>wt%25</t>
  </si>
  <si>
    <t>wt%26</t>
  </si>
  <si>
    <t>wt%27</t>
  </si>
  <si>
    <t>wt%28</t>
  </si>
  <si>
    <t>wt%38</t>
  </si>
  <si>
    <t>Salmuera entrada desde salar</t>
  </si>
  <si>
    <t>Balance Componentes Concentrado</t>
  </si>
  <si>
    <t>Rechazo iones Permeado</t>
  </si>
  <si>
    <t>Membrane Distillation</t>
  </si>
  <si>
    <t>Composición Salmuera MD</t>
  </si>
  <si>
    <t>wt%51</t>
  </si>
  <si>
    <t>wt%52</t>
  </si>
  <si>
    <t>wt%53</t>
  </si>
  <si>
    <t>wt%54</t>
  </si>
  <si>
    <t>wt%55</t>
  </si>
  <si>
    <t>wt%56</t>
  </si>
  <si>
    <t>wt%57</t>
  </si>
  <si>
    <t>wt%58</t>
  </si>
  <si>
    <t>Balance Agua</t>
  </si>
  <si>
    <t>F4</t>
  </si>
  <si>
    <t>%Ev H2O</t>
  </si>
  <si>
    <t>wt%41</t>
  </si>
  <si>
    <t>wt%42</t>
  </si>
  <si>
    <t>wt%43</t>
  </si>
  <si>
    <t>wt%44</t>
  </si>
  <si>
    <t>wt%45</t>
  </si>
  <si>
    <t>wt%46</t>
  </si>
  <si>
    <t>wt%47</t>
  </si>
  <si>
    <t>wt%48</t>
  </si>
  <si>
    <t>Balance Agua Recuperada</t>
  </si>
  <si>
    <t>Membrane Cristallization</t>
  </si>
  <si>
    <t>Balance total</t>
  </si>
  <si>
    <t>F5</t>
  </si>
  <si>
    <t>Composición Salmuera MCr</t>
  </si>
  <si>
    <t>wt%71</t>
  </si>
  <si>
    <t>wt%72</t>
  </si>
  <si>
    <t>wt%75</t>
  </si>
  <si>
    <t>wt%73</t>
  </si>
  <si>
    <t>wt%74</t>
  </si>
  <si>
    <t>wt%76</t>
  </si>
  <si>
    <t>wt%77</t>
  </si>
  <si>
    <t>wt%78</t>
  </si>
  <si>
    <t>F6</t>
  </si>
  <si>
    <t>wt%61</t>
  </si>
  <si>
    <t>wt%62</t>
  </si>
  <si>
    <t>wt%63</t>
  </si>
  <si>
    <t>wt%64</t>
  </si>
  <si>
    <t>wt%65</t>
  </si>
  <si>
    <t>wt%66</t>
  </si>
  <si>
    <t>wt%67</t>
  </si>
  <si>
    <t>wt%68</t>
  </si>
  <si>
    <t>F7</t>
  </si>
  <si>
    <t>Fpp7</t>
  </si>
  <si>
    <t>ton/año precipitados</t>
  </si>
  <si>
    <t xml:space="preserve">      Halite</t>
  </si>
  <si>
    <t xml:space="preserve">     Sylvite</t>
  </si>
  <si>
    <t xml:space="preserve">  Carnallite</t>
  </si>
  <si>
    <t xml:space="preserve">  Bischofite</t>
  </si>
  <si>
    <t xml:space="preserve">  Thenardite</t>
  </si>
  <si>
    <t xml:space="preserve">  Mirabilite</t>
  </si>
  <si>
    <t xml:space="preserve">    Arcanite</t>
  </si>
  <si>
    <t xml:space="preserve">   Glaserite</t>
  </si>
  <si>
    <t xml:space="preserve">      Gypsum</t>
  </si>
  <si>
    <t xml:space="preserve">   Anhydrite</t>
  </si>
  <si>
    <t>moles</t>
  </si>
  <si>
    <t>masa (g)</t>
  </si>
  <si>
    <t>PM (g/mol)</t>
  </si>
  <si>
    <t>(PHREEQC)</t>
  </si>
  <si>
    <t>k-indice</t>
  </si>
  <si>
    <t xml:space="preserve"> wt% (pp)</t>
  </si>
  <si>
    <t>Distribución Cristales (pp)</t>
  </si>
  <si>
    <t>Filtro Prensa</t>
  </si>
  <si>
    <t>Balance de sólidos</t>
  </si>
  <si>
    <t>F8pp</t>
  </si>
  <si>
    <t>%Humedad</t>
  </si>
  <si>
    <t>F8</t>
  </si>
  <si>
    <t>F9</t>
  </si>
  <si>
    <t>Composición Salmuera Concentrada</t>
  </si>
  <si>
    <t>wt%91</t>
  </si>
  <si>
    <t>wt%92</t>
  </si>
  <si>
    <t>wt%93</t>
  </si>
  <si>
    <t>wt%94</t>
  </si>
  <si>
    <t>wt%95</t>
  </si>
  <si>
    <t>wt%96</t>
  </si>
  <si>
    <t>wt%97</t>
  </si>
  <si>
    <t>wt%98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</si>
</sst>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_-* #,##0\ _€_-;\-* #,##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5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/>
    <xf numFmtId="0" fontId="3" fillId="0" borderId="0" xfId="0" applyFont="1"/>
    <xf numFmtId="0" fontId="2" fillId="2" borderId="0" xfId="0" applyFont="1" applyFill="1"/>
    <xf numFmtId="0" fontId="2" fillId="0" borderId="0" xfId="0" applyFont="1"/>
    <xf numFmtId="2" fontId="0" fillId="0" borderId="0" xfId="0" applyNumberFormat="1"/>
    <xf numFmtId="164" fontId="0" fillId="0" borderId="0" xfId="1" applyNumberFormat="1" applyFont="1"/>
    <xf numFmtId="164" fontId="3" fillId="0" borderId="0" xfId="1" applyNumberFormat="1" applyFont="1"/>
    <xf numFmtId="0" fontId="5" fillId="0" borderId="0" xfId="0" applyFont="1"/>
    <xf numFmtId="2" fontId="5" fillId="0" borderId="0" xfId="0" applyNumberFormat="1" applyFont="1"/>
    <xf numFmtId="164" fontId="0" fillId="0" borderId="0" xfId="0" applyNumberFormat="1"/>
    <xf numFmtId="11" fontId="0" fillId="0" borderId="0" xfId="0" applyNumberFormat="1"/>
    <xf numFmtId="165" fontId="0" fillId="0" borderId="0" xfId="0" applyNumberForma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6F347-C8F7-4702-B3C8-B2E1AF0ADCB6}">
  <dimension ref="A1:AC32"/>
  <sheetViews>
    <sheetView tabSelected="1" topLeftCell="O1" zoomScale="115" workbookViewId="0">
      <selection activeCell="AB11" sqref="AB11"/>
    </sheetView>
  </sheetViews>
  <sheetFormatPr baseColWidth="10" defaultRowHeight="15" x14ac:dyDescent="0.25"/>
  <cols>
    <col min="1" max="1" width="4.42578125" customWidth="1"/>
    <col min="4" max="4" width="16.85546875" bestFit="1" customWidth="1"/>
    <col min="5" max="5" width="3.42578125" customWidth="1"/>
    <col min="6" max="6" width="11.5703125" customWidth="1"/>
    <col min="8" max="8" width="13.140625" bestFit="1" customWidth="1"/>
    <col min="9" max="9" width="4.42578125" customWidth="1"/>
    <col min="10" max="10" width="5" customWidth="1"/>
    <col min="11" max="11" width="21.140625" customWidth="1"/>
    <col min="13" max="13" width="16.85546875" bestFit="1" customWidth="1"/>
    <col min="18" max="18" width="19.7109375" bestFit="1" customWidth="1"/>
    <col min="24" max="24" width="16.85546875" bestFit="1" customWidth="1"/>
    <col min="28" max="28" width="12.85546875" bestFit="1" customWidth="1"/>
  </cols>
  <sheetData>
    <row r="1" spans="1:29" x14ac:dyDescent="0.25">
      <c r="A1" s="4" t="s">
        <v>45</v>
      </c>
      <c r="B1" s="2"/>
      <c r="C1" s="2"/>
      <c r="D1" s="2"/>
      <c r="E1" s="2"/>
      <c r="F1" s="2"/>
      <c r="G1" s="2"/>
      <c r="H1" s="2"/>
    </row>
    <row r="2" spans="1:29" x14ac:dyDescent="0.25">
      <c r="A2" s="1" t="s">
        <v>34</v>
      </c>
      <c r="B2" t="s">
        <v>35</v>
      </c>
      <c r="C2" t="s">
        <v>33</v>
      </c>
      <c r="D2" t="s">
        <v>24</v>
      </c>
      <c r="J2" s="4" t="s">
        <v>48</v>
      </c>
      <c r="K2" s="2"/>
      <c r="L2" s="2"/>
      <c r="M2" s="2"/>
      <c r="O2" s="4" t="s">
        <v>70</v>
      </c>
      <c r="P2" s="2"/>
      <c r="Q2" s="2"/>
      <c r="R2" s="2"/>
      <c r="S2" s="2"/>
      <c r="T2" s="2"/>
      <c r="U2" s="2"/>
      <c r="V2" s="2"/>
      <c r="W2" s="2"/>
      <c r="X2" s="2"/>
      <c r="Z2" s="4" t="s">
        <v>111</v>
      </c>
      <c r="AA2" s="2"/>
      <c r="AB2" s="2"/>
      <c r="AC2" s="2"/>
    </row>
    <row r="3" spans="1:29" x14ac:dyDescent="0.25">
      <c r="A3" s="1">
        <v>1</v>
      </c>
      <c r="B3" t="s">
        <v>6</v>
      </c>
      <c r="C3" t="s">
        <v>25</v>
      </c>
      <c r="D3" s="3">
        <v>7.1</v>
      </c>
      <c r="J3" s="5" t="s">
        <v>49</v>
      </c>
      <c r="L3" s="9" t="s">
        <v>107</v>
      </c>
      <c r="O3" s="5" t="s">
        <v>73</v>
      </c>
      <c r="Q3" s="9" t="s">
        <v>107</v>
      </c>
      <c r="S3" s="5" t="s">
        <v>110</v>
      </c>
      <c r="V3" s="9" t="s">
        <v>107</v>
      </c>
      <c r="Z3" s="5" t="s">
        <v>112</v>
      </c>
    </row>
    <row r="4" spans="1:29" x14ac:dyDescent="0.25">
      <c r="A4" s="1">
        <v>2</v>
      </c>
      <c r="B4" t="s">
        <v>5</v>
      </c>
      <c r="C4" t="s">
        <v>26</v>
      </c>
      <c r="D4" s="3">
        <v>0.72</v>
      </c>
      <c r="K4" t="s">
        <v>50</v>
      </c>
      <c r="L4" s="10">
        <v>7.8638336530448854</v>
      </c>
      <c r="P4" t="s">
        <v>74</v>
      </c>
      <c r="Q4" s="10">
        <v>0.20418159384331042</v>
      </c>
      <c r="S4" s="12" t="s">
        <v>108</v>
      </c>
      <c r="T4" s="12"/>
      <c r="U4" s="3" t="s">
        <v>106</v>
      </c>
      <c r="V4" s="12" t="s">
        <v>104</v>
      </c>
      <c r="W4" s="12" t="s">
        <v>105</v>
      </c>
      <c r="X4" s="12" t="s">
        <v>109</v>
      </c>
      <c r="AA4" s="12" t="s">
        <v>113</v>
      </c>
      <c r="AB4" s="11">
        <f>Q29</f>
        <v>35147.86160346603</v>
      </c>
      <c r="AC4" t="s">
        <v>93</v>
      </c>
    </row>
    <row r="5" spans="1:29" x14ac:dyDescent="0.25">
      <c r="A5" s="1">
        <v>3</v>
      </c>
      <c r="B5" t="s">
        <v>4</v>
      </c>
      <c r="C5" t="s">
        <v>27</v>
      </c>
      <c r="D5" s="3">
        <v>0.1</v>
      </c>
      <c r="K5" t="s">
        <v>51</v>
      </c>
      <c r="L5" s="10">
        <v>0.80103881054901016</v>
      </c>
      <c r="P5" t="s">
        <v>75</v>
      </c>
      <c r="Q5" s="10">
        <v>0.49326019410164351</v>
      </c>
      <c r="S5">
        <v>1</v>
      </c>
      <c r="T5" t="s">
        <v>94</v>
      </c>
      <c r="U5" s="3">
        <v>58.44</v>
      </c>
      <c r="V5" s="10">
        <v>4.6490999999999998</v>
      </c>
      <c r="W5" s="6">
        <f>+V5*U5</f>
        <v>271.69340399999999</v>
      </c>
      <c r="X5" s="6">
        <f t="shared" ref="X5:X14" si="0">+W5*100/(SUM($W$5:$W$14))</f>
        <v>90.152568747650221</v>
      </c>
      <c r="AA5" t="s">
        <v>114</v>
      </c>
      <c r="AB5" s="3">
        <v>20</v>
      </c>
    </row>
    <row r="6" spans="1:29" x14ac:dyDescent="0.25">
      <c r="A6" s="1">
        <v>4</v>
      </c>
      <c r="B6" t="s">
        <v>3</v>
      </c>
      <c r="C6" t="s">
        <v>28</v>
      </c>
      <c r="D6" s="3">
        <v>15.91</v>
      </c>
      <c r="K6" t="s">
        <v>52</v>
      </c>
      <c r="L6" s="10">
        <v>0.11053567169290161</v>
      </c>
      <c r="P6" t="s">
        <v>77</v>
      </c>
      <c r="Q6" s="10">
        <v>0.9599524535278674</v>
      </c>
      <c r="S6">
        <v>2</v>
      </c>
      <c r="T6" t="s">
        <v>95</v>
      </c>
      <c r="U6" s="3">
        <v>74.55</v>
      </c>
      <c r="V6" s="10">
        <v>0.20934</v>
      </c>
      <c r="W6" s="6">
        <f t="shared" ref="W6:W14" si="1">+V6*U6</f>
        <v>15.606297</v>
      </c>
      <c r="X6" s="6">
        <f t="shared" si="0"/>
        <v>5.1784391614775727</v>
      </c>
      <c r="AA6" t="s">
        <v>115</v>
      </c>
      <c r="AB6" s="7">
        <f>+AB4*(AB5/100)/(1-AB5/100)</f>
        <v>8786.9654008665075</v>
      </c>
    </row>
    <row r="7" spans="1:29" x14ac:dyDescent="0.25">
      <c r="A7" s="1">
        <v>5</v>
      </c>
      <c r="B7" t="s">
        <v>2</v>
      </c>
      <c r="C7" t="s">
        <v>29</v>
      </c>
      <c r="D7" s="3">
        <v>1.08</v>
      </c>
      <c r="K7" t="s">
        <v>53</v>
      </c>
      <c r="L7" s="10">
        <v>17.665696996409505</v>
      </c>
      <c r="P7" t="s">
        <v>78</v>
      </c>
      <c r="Q7" s="10">
        <v>40.762387566922456</v>
      </c>
      <c r="S7">
        <v>3</v>
      </c>
      <c r="T7" t="s">
        <v>96</v>
      </c>
      <c r="U7" s="3">
        <v>277.10000000000002</v>
      </c>
      <c r="V7" s="10">
        <v>5.0082000000000002E-2</v>
      </c>
      <c r="W7" s="6">
        <f t="shared" si="1"/>
        <v>13.877722200000001</v>
      </c>
      <c r="X7" s="6">
        <f t="shared" si="0"/>
        <v>4.6048681575511923</v>
      </c>
      <c r="AA7" t="s">
        <v>116</v>
      </c>
      <c r="AB7" s="13">
        <f>+Q26+Q29-AB4-AB6</f>
        <v>9633.2275172370664</v>
      </c>
      <c r="AC7" t="s">
        <v>9</v>
      </c>
    </row>
    <row r="8" spans="1:29" x14ac:dyDescent="0.25">
      <c r="A8" s="1">
        <v>6</v>
      </c>
      <c r="B8" t="s">
        <v>1</v>
      </c>
      <c r="C8" t="s">
        <v>30</v>
      </c>
      <c r="D8" s="3">
        <v>0.65</v>
      </c>
      <c r="K8" t="s">
        <v>54</v>
      </c>
      <c r="L8" s="10">
        <v>0.13563338726425142</v>
      </c>
      <c r="P8" t="s">
        <v>76</v>
      </c>
      <c r="Q8" s="10">
        <v>1.1900164432947469</v>
      </c>
      <c r="S8">
        <v>4</v>
      </c>
      <c r="T8" t="s">
        <v>97</v>
      </c>
      <c r="U8" s="3">
        <v>203.3</v>
      </c>
      <c r="V8" s="10">
        <v>0</v>
      </c>
      <c r="W8" s="6">
        <f t="shared" si="1"/>
        <v>0</v>
      </c>
      <c r="X8" s="6">
        <f t="shared" si="0"/>
        <v>0</v>
      </c>
    </row>
    <row r="9" spans="1:29" x14ac:dyDescent="0.25">
      <c r="A9" s="1">
        <v>7</v>
      </c>
      <c r="B9" t="s">
        <v>0</v>
      </c>
      <c r="C9" t="s">
        <v>31</v>
      </c>
      <c r="D9" s="3">
        <v>0.06</v>
      </c>
      <c r="K9" t="s">
        <v>55</v>
      </c>
      <c r="L9" s="10">
        <v>8.6465427165995729E-2</v>
      </c>
      <c r="P9" t="s">
        <v>79</v>
      </c>
      <c r="Q9" s="10">
        <v>6.5746364544873193E-3</v>
      </c>
      <c r="S9">
        <v>5</v>
      </c>
      <c r="T9" t="s">
        <v>98</v>
      </c>
      <c r="U9" s="3">
        <v>142.04</v>
      </c>
      <c r="V9" s="10">
        <v>0</v>
      </c>
      <c r="W9" s="6">
        <f t="shared" si="1"/>
        <v>0</v>
      </c>
      <c r="X9" s="6">
        <f t="shared" si="0"/>
        <v>0</v>
      </c>
      <c r="Z9" s="5" t="s">
        <v>117</v>
      </c>
    </row>
    <row r="10" spans="1:29" x14ac:dyDescent="0.25">
      <c r="A10" s="1">
        <v>8</v>
      </c>
      <c r="B10" t="s">
        <v>7</v>
      </c>
      <c r="C10" t="s">
        <v>32</v>
      </c>
      <c r="D10" s="3">
        <f>100-SUM(D3:D9)</f>
        <v>74.38000000000001</v>
      </c>
      <c r="K10" t="s">
        <v>56</v>
      </c>
      <c r="L10" s="10">
        <v>1.2346708913134996E-2</v>
      </c>
      <c r="P10" t="s">
        <v>80</v>
      </c>
      <c r="Q10" s="10">
        <v>1.4701824767081776E-5</v>
      </c>
      <c r="S10">
        <v>6</v>
      </c>
      <c r="T10" t="s">
        <v>99</v>
      </c>
      <c r="U10" s="3">
        <v>322.2</v>
      </c>
      <c r="V10" s="10">
        <v>0</v>
      </c>
      <c r="W10" s="6">
        <f t="shared" si="1"/>
        <v>0</v>
      </c>
      <c r="X10" s="6">
        <f t="shared" si="0"/>
        <v>0</v>
      </c>
      <c r="AA10" t="s">
        <v>118</v>
      </c>
      <c r="AB10" s="6">
        <f>+Q4</f>
        <v>0.20418159384331042</v>
      </c>
    </row>
    <row r="11" spans="1:29" x14ac:dyDescent="0.25">
      <c r="K11" t="s">
        <v>57</v>
      </c>
      <c r="L11" s="10">
        <v>73.324449344960314</v>
      </c>
      <c r="P11" t="s">
        <v>81</v>
      </c>
      <c r="Q11" s="10">
        <v>56.383612410030722</v>
      </c>
      <c r="S11">
        <v>7</v>
      </c>
      <c r="T11" t="s">
        <v>100</v>
      </c>
      <c r="U11" s="3">
        <v>174.26</v>
      </c>
      <c r="V11" s="10">
        <v>0</v>
      </c>
      <c r="W11" s="6">
        <f t="shared" si="1"/>
        <v>0</v>
      </c>
      <c r="X11" s="6">
        <f t="shared" si="0"/>
        <v>0</v>
      </c>
      <c r="AA11" t="s">
        <v>119</v>
      </c>
      <c r="AB11" s="6">
        <f t="shared" ref="AB11:AB17" si="2">+Q5</f>
        <v>0.49326019410164351</v>
      </c>
    </row>
    <row r="12" spans="1:29" x14ac:dyDescent="0.25">
      <c r="A12" s="4" t="s">
        <v>17</v>
      </c>
      <c r="B12" s="2"/>
      <c r="C12" s="2"/>
      <c r="D12" s="2"/>
      <c r="E12" s="2"/>
      <c r="F12" s="2"/>
      <c r="G12" s="2"/>
      <c r="H12" s="2"/>
      <c r="S12">
        <v>8</v>
      </c>
      <c r="T12" t="s">
        <v>101</v>
      </c>
      <c r="U12" s="3">
        <v>332.31</v>
      </c>
      <c r="V12" s="10">
        <v>0</v>
      </c>
      <c r="W12" s="6">
        <f t="shared" si="1"/>
        <v>0</v>
      </c>
      <c r="X12" s="6">
        <f t="shared" si="0"/>
        <v>0</v>
      </c>
      <c r="AA12" t="s">
        <v>120</v>
      </c>
      <c r="AB12" s="6">
        <f t="shared" si="2"/>
        <v>0.9599524535278674</v>
      </c>
    </row>
    <row r="13" spans="1:29" x14ac:dyDescent="0.25">
      <c r="A13" s="5" t="s">
        <v>23</v>
      </c>
      <c r="F13" s="5" t="s">
        <v>46</v>
      </c>
      <c r="J13" s="5" t="s">
        <v>69</v>
      </c>
      <c r="L13" s="9" t="s">
        <v>107</v>
      </c>
      <c r="O13" s="5" t="s">
        <v>69</v>
      </c>
      <c r="Q13" s="9" t="s">
        <v>107</v>
      </c>
      <c r="S13">
        <v>9</v>
      </c>
      <c r="T13" t="s">
        <v>102</v>
      </c>
      <c r="U13" s="3">
        <v>172.17</v>
      </c>
      <c r="V13" s="10">
        <v>0</v>
      </c>
      <c r="W13" s="6">
        <f t="shared" si="1"/>
        <v>0</v>
      </c>
      <c r="X13" s="6">
        <f t="shared" si="0"/>
        <v>0</v>
      </c>
      <c r="AA13" t="s">
        <v>121</v>
      </c>
      <c r="AB13" s="6">
        <f t="shared" si="2"/>
        <v>40.762387566922456</v>
      </c>
    </row>
    <row r="14" spans="1:29" x14ac:dyDescent="0.25">
      <c r="B14" t="s">
        <v>8</v>
      </c>
      <c r="C14" s="8">
        <v>500000</v>
      </c>
      <c r="D14" t="s">
        <v>9</v>
      </c>
      <c r="G14" t="s">
        <v>36</v>
      </c>
      <c r="H14" s="6">
        <f t="shared" ref="H14:H20" si="3">+($C$14*D3-$C$16*C22)/$C$17</f>
        <v>7.5733333333333333</v>
      </c>
      <c r="K14" t="s">
        <v>60</v>
      </c>
      <c r="L14" s="10">
        <v>24.32</v>
      </c>
      <c r="P14" t="s">
        <v>60</v>
      </c>
      <c r="Q14" s="10">
        <v>91.25</v>
      </c>
      <c r="S14">
        <v>10</v>
      </c>
      <c r="T14" t="s">
        <v>103</v>
      </c>
      <c r="U14" s="3">
        <v>136.13999999999999</v>
      </c>
      <c r="V14" s="10">
        <v>1.4195E-3</v>
      </c>
      <c r="W14" s="6">
        <f t="shared" si="1"/>
        <v>0.19325072999999998</v>
      </c>
      <c r="X14" s="6">
        <f t="shared" si="0"/>
        <v>6.4123933321026047E-2</v>
      </c>
      <c r="AA14" t="s">
        <v>122</v>
      </c>
      <c r="AB14" s="6">
        <f t="shared" si="2"/>
        <v>1.1900164432947469</v>
      </c>
    </row>
    <row r="15" spans="1:29" x14ac:dyDescent="0.25">
      <c r="B15" t="s">
        <v>10</v>
      </c>
      <c r="C15" s="3">
        <v>0.4</v>
      </c>
      <c r="G15" t="s">
        <v>37</v>
      </c>
      <c r="H15" s="6">
        <f t="shared" si="3"/>
        <v>0.76800000000000002</v>
      </c>
      <c r="K15" t="s">
        <v>59</v>
      </c>
      <c r="L15" s="7">
        <f>C16*(C29/100)*(L14/100)</f>
        <v>38121.113599999997</v>
      </c>
      <c r="M15" t="s">
        <v>9</v>
      </c>
      <c r="P15" t="s">
        <v>82</v>
      </c>
      <c r="Q15" s="7">
        <f>+L26*(L11/100)*(Q14/100)</f>
        <v>108310.83187843041</v>
      </c>
      <c r="AA15" t="s">
        <v>123</v>
      </c>
      <c r="AB15" s="6">
        <f t="shared" si="2"/>
        <v>6.5746364544873193E-3</v>
      </c>
    </row>
    <row r="16" spans="1:29" x14ac:dyDescent="0.25">
      <c r="B16" t="s">
        <v>11</v>
      </c>
      <c r="C16" s="7">
        <f>+C15*C14</f>
        <v>200000</v>
      </c>
      <c r="D16" t="s">
        <v>9</v>
      </c>
      <c r="G16" t="s">
        <v>38</v>
      </c>
      <c r="H16" s="6">
        <f t="shared" si="3"/>
        <v>0.10666666666666666</v>
      </c>
      <c r="K16" t="s">
        <v>61</v>
      </c>
      <c r="L16">
        <v>0</v>
      </c>
      <c r="P16" t="s">
        <v>83</v>
      </c>
      <c r="Q16">
        <v>0</v>
      </c>
      <c r="AA16" t="s">
        <v>124</v>
      </c>
      <c r="AB16" s="6">
        <f t="shared" si="2"/>
        <v>1.4701824767081776E-5</v>
      </c>
    </row>
    <row r="17" spans="1:28" x14ac:dyDescent="0.25">
      <c r="B17" t="s">
        <v>12</v>
      </c>
      <c r="C17" s="7">
        <f>C14-C16</f>
        <v>300000</v>
      </c>
      <c r="D17" t="s">
        <v>9</v>
      </c>
      <c r="G17" t="s">
        <v>39</v>
      </c>
      <c r="H17" s="6">
        <f t="shared" si="3"/>
        <v>16.970666666666666</v>
      </c>
      <c r="K17" t="s">
        <v>62</v>
      </c>
      <c r="L17">
        <v>0</v>
      </c>
      <c r="P17" t="s">
        <v>84</v>
      </c>
      <c r="Q17">
        <v>0</v>
      </c>
      <c r="AA17" t="s">
        <v>125</v>
      </c>
      <c r="AB17" s="6">
        <f t="shared" si="2"/>
        <v>56.383612410030722</v>
      </c>
    </row>
    <row r="18" spans="1:28" x14ac:dyDescent="0.25">
      <c r="G18" t="s">
        <v>40</v>
      </c>
      <c r="H18" s="6">
        <f t="shared" si="3"/>
        <v>1.728</v>
      </c>
      <c r="K18" t="s">
        <v>63</v>
      </c>
      <c r="L18">
        <v>0</v>
      </c>
      <c r="P18" t="s">
        <v>85</v>
      </c>
      <c r="Q18">
        <v>0</v>
      </c>
    </row>
    <row r="19" spans="1:28" x14ac:dyDescent="0.25">
      <c r="A19" s="5" t="s">
        <v>47</v>
      </c>
      <c r="G19" t="s">
        <v>41</v>
      </c>
      <c r="H19" s="6">
        <f t="shared" si="3"/>
        <v>1.04</v>
      </c>
      <c r="K19" t="s">
        <v>64</v>
      </c>
      <c r="L19">
        <v>0</v>
      </c>
      <c r="P19" t="s">
        <v>86</v>
      </c>
      <c r="Q19">
        <v>0</v>
      </c>
    </row>
    <row r="20" spans="1:28" x14ac:dyDescent="0.25">
      <c r="B20" t="s">
        <v>18</v>
      </c>
      <c r="D20" s="3">
        <v>0.1</v>
      </c>
      <c r="G20" t="s">
        <v>42</v>
      </c>
      <c r="H20" s="6">
        <f t="shared" si="3"/>
        <v>9.6000000000000002E-2</v>
      </c>
      <c r="K20" t="s">
        <v>65</v>
      </c>
      <c r="L20">
        <v>0</v>
      </c>
      <c r="P20" t="s">
        <v>87</v>
      </c>
      <c r="Q20">
        <v>0</v>
      </c>
    </row>
    <row r="21" spans="1:28" x14ac:dyDescent="0.25">
      <c r="B21" t="s">
        <v>13</v>
      </c>
      <c r="D21" s="3">
        <v>0.9</v>
      </c>
      <c r="G21" t="s">
        <v>43</v>
      </c>
      <c r="H21" s="6">
        <f>100-SUM(H14:H20)</f>
        <v>71.717333333333329</v>
      </c>
      <c r="K21" t="s">
        <v>66</v>
      </c>
      <c r="L21">
        <v>0</v>
      </c>
      <c r="P21" t="s">
        <v>88</v>
      </c>
      <c r="Q21">
        <v>0</v>
      </c>
    </row>
    <row r="22" spans="1:28" x14ac:dyDescent="0.25">
      <c r="B22" t="s">
        <v>19</v>
      </c>
      <c r="C22" s="6">
        <f>+D3*(1-$D$20)</f>
        <v>6.39</v>
      </c>
      <c r="K22" t="s">
        <v>67</v>
      </c>
      <c r="L22">
        <v>0</v>
      </c>
      <c r="P22" t="s">
        <v>89</v>
      </c>
      <c r="Q22">
        <v>0</v>
      </c>
    </row>
    <row r="23" spans="1:28" x14ac:dyDescent="0.25">
      <c r="B23" t="s">
        <v>20</v>
      </c>
      <c r="C23" s="6">
        <f>+D4*(1-$D$20)</f>
        <v>0.64800000000000002</v>
      </c>
      <c r="K23" t="s">
        <v>68</v>
      </c>
      <c r="L23">
        <v>100</v>
      </c>
      <c r="P23" t="s">
        <v>90</v>
      </c>
      <c r="Q23">
        <v>100</v>
      </c>
    </row>
    <row r="24" spans="1:28" x14ac:dyDescent="0.25">
      <c r="B24" t="s">
        <v>21</v>
      </c>
      <c r="C24" s="6">
        <f>+D5*(1-$D$20)</f>
        <v>9.0000000000000011E-2</v>
      </c>
    </row>
    <row r="25" spans="1:28" x14ac:dyDescent="0.25">
      <c r="B25" t="s">
        <v>22</v>
      </c>
      <c r="C25" s="6">
        <f>+D6*(1-$D$20)</f>
        <v>14.319000000000001</v>
      </c>
      <c r="J25" s="5" t="s">
        <v>71</v>
      </c>
      <c r="O25" s="5" t="s">
        <v>58</v>
      </c>
    </row>
    <row r="26" spans="1:28" x14ac:dyDescent="0.25">
      <c r="B26" t="s">
        <v>14</v>
      </c>
      <c r="C26" s="6">
        <f>+D7*(1-$D$21)</f>
        <v>0.10799999999999998</v>
      </c>
      <c r="K26" t="s">
        <v>72</v>
      </c>
      <c r="L26" s="11">
        <f>C16-L15</f>
        <v>161878.88640000002</v>
      </c>
      <c r="M26" t="s">
        <v>9</v>
      </c>
      <c r="P26" t="s">
        <v>91</v>
      </c>
      <c r="Q26" s="11">
        <f>+(L26*L11/100-Q15)/(Q11/100)</f>
        <v>18420.192918103574</v>
      </c>
      <c r="R26" t="s">
        <v>9</v>
      </c>
    </row>
    <row r="27" spans="1:28" x14ac:dyDescent="0.25">
      <c r="B27" t="s">
        <v>15</v>
      </c>
      <c r="C27" s="6">
        <f>+D8*(1-$D$21)</f>
        <v>6.4999999999999988E-2</v>
      </c>
    </row>
    <row r="28" spans="1:28" x14ac:dyDescent="0.25">
      <c r="B28" t="s">
        <v>16</v>
      </c>
      <c r="C28" s="6">
        <f>+D9*(1-$D$21)</f>
        <v>5.9999999999999984E-3</v>
      </c>
      <c r="O28" s="5" t="s">
        <v>23</v>
      </c>
    </row>
    <row r="29" spans="1:28" x14ac:dyDescent="0.25">
      <c r="B29" t="s">
        <v>44</v>
      </c>
      <c r="C29" s="6">
        <f>100-SUM(C26:C28)-SUM(C22:C25)</f>
        <v>78.373999999999995</v>
      </c>
      <c r="P29" t="s">
        <v>92</v>
      </c>
      <c r="Q29" s="11">
        <f>+L26-Q15-Q26</f>
        <v>35147.86160346603</v>
      </c>
      <c r="R29" t="s">
        <v>93</v>
      </c>
    </row>
    <row r="30" spans="1:28" x14ac:dyDescent="0.25">
      <c r="Q30" s="11"/>
    </row>
    <row r="32" spans="1:28" x14ac:dyDescent="0.25">
      <c r="T32" s="12"/>
      <c r="U32" s="12"/>
      <c r="V32" s="12"/>
      <c r="W32" s="12"/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Simón Diego Díaz Quezada (simon.diaz)</dc:creator>
  <cp:lastModifiedBy>Simón Diego Díaz Quezada (simon.diaz)</cp:lastModifiedBy>
  <dcterms:created xsi:type="dcterms:W3CDTF">2023-11-30T01:44:32Z</dcterms:created>
  <dcterms:modified xsi:type="dcterms:W3CDTF">2023-11-30T22:04:39Z</dcterms:modified>
</cp:coreProperties>
</file>